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<sst xmlns="http://schemas.openxmlformats.org/spreadsheetml/2006/main" count="1829" uniqueCount="278">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</sst>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3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3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9" fontId="7" fillId="0" borderId="13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3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3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3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грудень"/>
    </sheetNames>
    <sheetDataSet>
      <sheetData sheetId="12">
        <row r="6">
          <cell r="G6">
            <v>122492334.46</v>
          </cell>
        </row>
        <row r="8">
          <cell r="G8">
            <v>0</v>
          </cell>
        </row>
        <row r="9">
          <cell r="G9">
            <v>13829857.96</v>
          </cell>
        </row>
        <row r="10">
          <cell r="G10">
            <v>108662476.5</v>
          </cell>
        </row>
      </sheetData>
      <sheetData sheetId="13">
        <row r="52">
          <cell r="B52">
            <v>6118652.079999993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39" sqref="D13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272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269</v>
      </c>
      <c r="H4" s="203" t="s">
        <v>270</v>
      </c>
      <c r="I4" s="199" t="s">
        <v>188</v>
      </c>
      <c r="J4" s="205" t="s">
        <v>189</v>
      </c>
      <c r="K4" s="192" t="s">
        <v>274</v>
      </c>
      <c r="L4" s="193"/>
      <c r="M4" s="212"/>
      <c r="N4" s="197" t="s">
        <v>277</v>
      </c>
      <c r="O4" s="199" t="s">
        <v>136</v>
      </c>
      <c r="P4" s="199" t="s">
        <v>135</v>
      </c>
      <c r="Q4" s="192" t="s">
        <v>275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268</v>
      </c>
      <c r="F5" s="215"/>
      <c r="G5" s="202"/>
      <c r="H5" s="204"/>
      <c r="I5" s="200"/>
      <c r="J5" s="206"/>
      <c r="K5" s="194"/>
      <c r="L5" s="195"/>
      <c r="M5" s="151" t="s">
        <v>271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320718.77999999997</v>
      </c>
      <c r="G8" s="22">
        <f aca="true" t="shared" si="0" ref="G8:G30">F8-E8</f>
        <v>-30640.01999999996</v>
      </c>
      <c r="H8" s="51">
        <f>F8/E8*100</f>
        <v>91.27956379632445</v>
      </c>
      <c r="I8" s="36">
        <f aca="true" t="shared" si="1" ref="I8:I17">F8-D8</f>
        <v>-167757.52000000002</v>
      </c>
      <c r="J8" s="36">
        <f aca="true" t="shared" si="2" ref="J8:J14">F8/D8*100</f>
        <v>65.65697864973183</v>
      </c>
      <c r="K8" s="36">
        <f>F8-344287.2</f>
        <v>-23568.420000000042</v>
      </c>
      <c r="L8" s="136">
        <f>F8/344287.2</f>
        <v>0.9315443037092287</v>
      </c>
      <c r="M8" s="22">
        <f>M10+M19+M33+M56+M68+M30</f>
        <v>39345.409999999996</v>
      </c>
      <c r="N8" s="22">
        <f>N10+N19+N33+N56+N68+N30</f>
        <v>11783.010000000002</v>
      </c>
      <c r="O8" s="36">
        <f aca="true" t="shared" si="3" ref="O8:O71">N8-M8</f>
        <v>-27562.399999999994</v>
      </c>
      <c r="P8" s="36">
        <f>F8/M8*100</f>
        <v>815.136454290348</v>
      </c>
      <c r="Q8" s="36">
        <f>N8-37510.4</f>
        <v>-25727.39</v>
      </c>
      <c r="R8" s="134">
        <f>N8/37510.4</f>
        <v>0.3141264822555878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261058.4</v>
      </c>
      <c r="G9" s="22">
        <f t="shared" si="0"/>
        <v>261058.4</v>
      </c>
      <c r="H9" s="20"/>
      <c r="I9" s="56">
        <f t="shared" si="1"/>
        <v>-125954.80000000002</v>
      </c>
      <c r="J9" s="56">
        <f t="shared" si="2"/>
        <v>67.45465012562879</v>
      </c>
      <c r="K9" s="56"/>
      <c r="L9" s="135"/>
      <c r="M9" s="20">
        <f>M10+M17</f>
        <v>32323.5</v>
      </c>
      <c r="N9" s="20">
        <f>N10+N17</f>
        <v>10779.970000000001</v>
      </c>
      <c r="O9" s="36">
        <f t="shared" si="3"/>
        <v>-21543.53</v>
      </c>
      <c r="P9" s="56">
        <f>F9/M9*100</f>
        <v>807.6427367085867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261058.4</v>
      </c>
      <c r="G10" s="49">
        <f t="shared" si="0"/>
        <v>-26401.100000000006</v>
      </c>
      <c r="H10" s="40">
        <f aca="true" t="shared" si="4" ref="H10:H17">F10/E10*100</f>
        <v>90.81571490940463</v>
      </c>
      <c r="I10" s="56">
        <f t="shared" si="1"/>
        <v>-125954.80000000002</v>
      </c>
      <c r="J10" s="56">
        <f t="shared" si="2"/>
        <v>67.45465012562879</v>
      </c>
      <c r="K10" s="141">
        <f>F10-272674.4</f>
        <v>-11616.00000000003</v>
      </c>
      <c r="L10" s="142">
        <f>F10/272674.4</f>
        <v>0.957399741229833</v>
      </c>
      <c r="M10" s="40">
        <f>E10-серпень!E10</f>
        <v>32323.5</v>
      </c>
      <c r="N10" s="40">
        <f>F10-серпень!F10</f>
        <v>10779.970000000001</v>
      </c>
      <c r="O10" s="53">
        <f t="shared" si="3"/>
        <v>-21543.53</v>
      </c>
      <c r="P10" s="56">
        <f aca="true" t="shared" si="5" ref="P10:P17">N10/M10*100</f>
        <v>33.35025600569246</v>
      </c>
      <c r="Q10" s="141">
        <f>N10-29967.1</f>
        <v>-19187.129999999997</v>
      </c>
      <c r="R10" s="142">
        <f>N10/29967.1</f>
        <v>0.35972683376102466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72.88</v>
      </c>
      <c r="G19" s="49">
        <f t="shared" si="0"/>
        <v>-983.7199999999999</v>
      </c>
      <c r="H19" s="40">
        <f aca="true" t="shared" si="6" ref="H19:H29">F19/E19*100</f>
        <v>6.897596062843083</v>
      </c>
      <c r="I19" s="56">
        <f aca="true" t="shared" si="7" ref="I19:I29">F19-D19</f>
        <v>-927.12</v>
      </c>
      <c r="J19" s="56">
        <f aca="true" t="shared" si="8" ref="J19:J29">F19/D19*100</f>
        <v>7.288</v>
      </c>
      <c r="K19" s="167">
        <f>F19-6479.1</f>
        <v>-6406.22</v>
      </c>
      <c r="L19" s="168">
        <f>F19/6479.1</f>
        <v>0.01124847586856199</v>
      </c>
      <c r="M19" s="40">
        <f>E19-серпень!E19</f>
        <v>11</v>
      </c>
      <c r="N19" s="40">
        <f>F19-серпень!F19</f>
        <v>0.1700000000000017</v>
      </c>
      <c r="O19" s="53">
        <f t="shared" si="3"/>
        <v>-10.829999999999998</v>
      </c>
      <c r="P19" s="56">
        <f aca="true" t="shared" si="9" ref="P19:P29">N19/M19*100</f>
        <v>1.545454545454561</v>
      </c>
      <c r="Q19" s="56">
        <f>N19-362</f>
        <v>-361.83</v>
      </c>
      <c r="R19" s="135">
        <f>N19/362</f>
        <v>0.000469613259668513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573.12</v>
      </c>
      <c r="G29" s="49">
        <f t="shared" si="0"/>
        <v>-223.48000000000002</v>
      </c>
      <c r="H29" s="40">
        <f t="shared" si="6"/>
        <v>71.94576952046197</v>
      </c>
      <c r="I29" s="56">
        <f t="shared" si="7"/>
        <v>-356.88</v>
      </c>
      <c r="J29" s="56">
        <f t="shared" si="8"/>
        <v>61.62580645161291</v>
      </c>
      <c r="K29" s="148">
        <f>F29-2860</f>
        <v>-2286.88</v>
      </c>
      <c r="L29" s="149">
        <f>F29/2860</f>
        <v>0.20039160839160838</v>
      </c>
      <c r="M29" s="40">
        <f>E29-серпень!E29</f>
        <v>11</v>
      </c>
      <c r="N29" s="40">
        <f>F29-серпень!F29</f>
        <v>0</v>
      </c>
      <c r="O29" s="148">
        <f t="shared" si="3"/>
        <v>-11</v>
      </c>
      <c r="P29" s="145">
        <f t="shared" si="9"/>
        <v>0</v>
      </c>
      <c r="Q29" s="148">
        <f>N29-361.95</f>
        <v>-361.95</v>
      </c>
      <c r="R29" s="149">
        <f>N29/361.95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55044.6</v>
      </c>
      <c r="G33" s="49">
        <f aca="true" t="shared" si="14" ref="G33:G72">F33-E33</f>
        <v>-2657.5</v>
      </c>
      <c r="H33" s="40">
        <f aca="true" t="shared" si="15" ref="H33:H67">F33/E33*100</f>
        <v>95.39444838229458</v>
      </c>
      <c r="I33" s="56">
        <f>F33-D33</f>
        <v>-38521.4</v>
      </c>
      <c r="J33" s="56">
        <f aca="true" t="shared" si="16" ref="J33:J72">F33/D33*100</f>
        <v>58.82970309727893</v>
      </c>
      <c r="K33" s="141">
        <f>F33-60413.2</f>
        <v>-5368.5999999999985</v>
      </c>
      <c r="L33" s="142">
        <f>F33/60413.2</f>
        <v>0.9111353147987526</v>
      </c>
      <c r="M33" s="40">
        <f>E33-серпень!E33</f>
        <v>6401.309999999998</v>
      </c>
      <c r="N33" s="40">
        <f>F33-серпень!F33</f>
        <v>751.8600000000006</v>
      </c>
      <c r="O33" s="53">
        <f t="shared" si="3"/>
        <v>-5649.449999999997</v>
      </c>
      <c r="P33" s="56">
        <f aca="true" t="shared" si="17" ref="P33:P67">N33/M33*100</f>
        <v>11.745408361725973</v>
      </c>
      <c r="Q33" s="141">
        <f>N33-6624.9</f>
        <v>-5873.039999999999</v>
      </c>
      <c r="R33" s="142">
        <f>N33/6624.9</f>
        <v>0.11349001494362189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40824.6</v>
      </c>
      <c r="G55" s="144">
        <f t="shared" si="14"/>
        <v>-1647.239999999998</v>
      </c>
      <c r="H55" s="146">
        <f t="shared" si="15"/>
        <v>96.12157137529243</v>
      </c>
      <c r="I55" s="145">
        <f t="shared" si="18"/>
        <v>-29441.4</v>
      </c>
      <c r="J55" s="145">
        <f t="shared" si="16"/>
        <v>58.10007685082401</v>
      </c>
      <c r="K55" s="148">
        <f>F55-43813.51</f>
        <v>-2988.9100000000035</v>
      </c>
      <c r="L55" s="149">
        <f>F55/43813.51</f>
        <v>0.9317810876142997</v>
      </c>
      <c r="M55" s="40">
        <f>E55-серпень!E55</f>
        <v>4681.3499999999985</v>
      </c>
      <c r="N55" s="40">
        <f>F55-серпень!F55</f>
        <v>684.3300000000017</v>
      </c>
      <c r="O55" s="148">
        <f t="shared" si="3"/>
        <v>-3997.019999999997</v>
      </c>
      <c r="P55" s="148">
        <f t="shared" si="17"/>
        <v>14.618219103463787</v>
      </c>
      <c r="Q55" s="160">
        <f>N55-4961.43</f>
        <v>-4277.0999999999985</v>
      </c>
      <c r="R55" s="161">
        <f>N55/7961.43</f>
        <v>0.08595566374382513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4538.3</v>
      </c>
      <c r="G56" s="49">
        <f t="shared" si="14"/>
        <v>-575.1999999999998</v>
      </c>
      <c r="H56" s="40">
        <f t="shared" si="15"/>
        <v>88.75134448029726</v>
      </c>
      <c r="I56" s="56">
        <f t="shared" si="18"/>
        <v>-2321.7</v>
      </c>
      <c r="J56" s="56">
        <f t="shared" si="16"/>
        <v>66.15597667638484</v>
      </c>
      <c r="K56" s="56">
        <f>F56-4694.5</f>
        <v>-156.19999999999982</v>
      </c>
      <c r="L56" s="135">
        <f>F56/4694.5</f>
        <v>0.9667270209820003</v>
      </c>
      <c r="M56" s="40">
        <f>E56-серпень!E56</f>
        <v>609.6000000000004</v>
      </c>
      <c r="N56" s="40">
        <f>F56-серпень!F56</f>
        <v>251.01000000000022</v>
      </c>
      <c r="O56" s="53">
        <f t="shared" si="3"/>
        <v>-358.59000000000015</v>
      </c>
      <c r="P56" s="56">
        <f t="shared" si="17"/>
        <v>41.176181102362214</v>
      </c>
      <c r="Q56" s="56">
        <f>N56-556.2</f>
        <v>-305.1899999999998</v>
      </c>
      <c r="R56" s="135">
        <f>N56/556.2</f>
        <v>0.45129449838187735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9509.29</v>
      </c>
      <c r="G74" s="50">
        <f aca="true" t="shared" si="24" ref="G74:G92">F74-E74</f>
        <v>-2670.709999999999</v>
      </c>
      <c r="H74" s="51">
        <f aca="true" t="shared" si="25" ref="H74:H87">F74/E74*100</f>
        <v>78.07298850574713</v>
      </c>
      <c r="I74" s="36">
        <f aca="true" t="shared" si="26" ref="I74:I92">F74-D74</f>
        <v>-8849.009999999998</v>
      </c>
      <c r="J74" s="36">
        <f aca="true" t="shared" si="27" ref="J74:J92">F74/D74*100</f>
        <v>51.79831465876471</v>
      </c>
      <c r="K74" s="36">
        <f>F74-14585.4</f>
        <v>-5076.109999999999</v>
      </c>
      <c r="L74" s="136">
        <f>F74/14585.4</f>
        <v>0.6519732060827952</v>
      </c>
      <c r="M74" s="22">
        <f>M77+M86+M88+M89+M94+M95+M96+M97+M99+M87+M104</f>
        <v>1580.5</v>
      </c>
      <c r="N74" s="22">
        <f>N77+N86+N88+N89+N94+N95+N96+N97+N99+N32+N104+N87+N103</f>
        <v>899.56</v>
      </c>
      <c r="O74" s="55">
        <f aca="true" t="shared" si="28" ref="O74:O92">N74-M74</f>
        <v>-680.94</v>
      </c>
      <c r="P74" s="36">
        <f>N74/M74*100</f>
        <v>56.91616577032585</v>
      </c>
      <c r="Q74" s="36">
        <f>N74-1622.9</f>
        <v>-723.3400000000001</v>
      </c>
      <c r="R74" s="136">
        <f>N74/1622.9</f>
        <v>0.5542917000431326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88.3</v>
      </c>
      <c r="G89" s="49">
        <f t="shared" si="24"/>
        <v>-40.7</v>
      </c>
      <c r="H89" s="40">
        <f>F89/E89*100</f>
        <v>68.44961240310077</v>
      </c>
      <c r="I89" s="56">
        <f t="shared" si="26"/>
        <v>-86.7</v>
      </c>
      <c r="J89" s="56">
        <f t="shared" si="27"/>
        <v>50.457142857142856</v>
      </c>
      <c r="K89" s="56">
        <f>F89-123.2</f>
        <v>-34.900000000000006</v>
      </c>
      <c r="L89" s="135">
        <f>F89/123.2</f>
        <v>0.7167207792207791</v>
      </c>
      <c r="M89" s="40">
        <f>E89-серпень!E89</f>
        <v>15</v>
      </c>
      <c r="N89" s="40">
        <f>F89-серпень!F89</f>
        <v>5.939999999999998</v>
      </c>
      <c r="O89" s="53">
        <f t="shared" si="28"/>
        <v>-9.060000000000002</v>
      </c>
      <c r="P89" s="56">
        <f>N89/M89*100</f>
        <v>39.59999999999999</v>
      </c>
      <c r="Q89" s="56">
        <f>N89-14.8</f>
        <v>-8.860000000000003</v>
      </c>
      <c r="R89" s="135">
        <f>N89/14.8</f>
        <v>0.4013513513513512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717.1</v>
      </c>
      <c r="G96" s="49">
        <f t="shared" si="31"/>
        <v>-77.39999999999998</v>
      </c>
      <c r="H96" s="40">
        <f>F96/E96*100</f>
        <v>90.25802391441158</v>
      </c>
      <c r="I96" s="56">
        <f t="shared" si="32"/>
        <v>-482.9</v>
      </c>
      <c r="J96" s="56">
        <f>F96/D96*100</f>
        <v>59.75833333333333</v>
      </c>
      <c r="K96" s="56">
        <f>F96-795.5</f>
        <v>-78.39999999999998</v>
      </c>
      <c r="L96" s="135">
        <f>F96/795.5</f>
        <v>0.9014456316781898</v>
      </c>
      <c r="M96" s="40">
        <f>E96-серпень!E96</f>
        <v>100</v>
      </c>
      <c r="N96" s="40">
        <f>F96-серпень!F96</f>
        <v>31.440000000000055</v>
      </c>
      <c r="O96" s="53">
        <f t="shared" si="33"/>
        <v>-68.55999999999995</v>
      </c>
      <c r="P96" s="56">
        <f>N96/M96*100</f>
        <v>31.440000000000058</v>
      </c>
      <c r="Q96" s="56">
        <f>N96-102.1</f>
        <v>-70.65999999999994</v>
      </c>
      <c r="R96" s="135">
        <f>N96/102.1</f>
        <v>0.3079333986287959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2935.1</v>
      </c>
      <c r="G99" s="49">
        <f t="shared" si="31"/>
        <v>-71.90000000000009</v>
      </c>
      <c r="H99" s="40">
        <f>F99/E99*100</f>
        <v>97.60891253741269</v>
      </c>
      <c r="I99" s="56">
        <f t="shared" si="32"/>
        <v>-1637.6</v>
      </c>
      <c r="J99" s="56">
        <f>F99/D99*100</f>
        <v>64.18746036258666</v>
      </c>
      <c r="K99" s="56">
        <f>F99-3411.3</f>
        <v>-476.2000000000003</v>
      </c>
      <c r="L99" s="135">
        <f>F99/3411.3</f>
        <v>0.8604051241462198</v>
      </c>
      <c r="M99" s="40">
        <f>E99-серпень!E99</f>
        <v>410</v>
      </c>
      <c r="N99" s="40">
        <f>F99-серпень!F99</f>
        <v>232.44000000000005</v>
      </c>
      <c r="O99" s="53">
        <f t="shared" si="33"/>
        <v>-177.55999999999995</v>
      </c>
      <c r="P99" s="56">
        <f>N99/M99*100</f>
        <v>56.692682926829285</v>
      </c>
      <c r="Q99" s="56">
        <f>N99-432.2</f>
        <v>-199.75999999999993</v>
      </c>
      <c r="R99" s="135">
        <f>N99/432.2</f>
        <v>0.5378065710319297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717</v>
      </c>
      <c r="G102" s="144"/>
      <c r="H102" s="146"/>
      <c r="I102" s="145"/>
      <c r="J102" s="145"/>
      <c r="K102" s="148">
        <f>F102-545.2</f>
        <v>171.79999999999995</v>
      </c>
      <c r="L102" s="149">
        <f>F102/545.2</f>
        <v>1.3151137197358767</v>
      </c>
      <c r="M102" s="40">
        <f>E102-серпень!E102</f>
        <v>0</v>
      </c>
      <c r="N102" s="40">
        <f>F102-серпень!F102</f>
        <v>81</v>
      </c>
      <c r="O102" s="53"/>
      <c r="P102" s="60"/>
      <c r="Q102" s="60">
        <f>N102-124.1</f>
        <v>-43.099999999999994</v>
      </c>
      <c r="R102" s="138">
        <f>N102/124.1</f>
        <v>0.6526994359387591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330245.6699999999</v>
      </c>
      <c r="G107" s="50">
        <f>F107-E107</f>
        <v>-33317.330000000016</v>
      </c>
      <c r="H107" s="51">
        <f>F107/E107*100</f>
        <v>90.8358853898774</v>
      </c>
      <c r="I107" s="36">
        <f t="shared" si="34"/>
        <v>-176633.93000000005</v>
      </c>
      <c r="J107" s="36">
        <f t="shared" si="36"/>
        <v>65.1526851741518</v>
      </c>
      <c r="K107" s="36">
        <f>F107-358888.5</f>
        <v>-28642.830000000075</v>
      </c>
      <c r="L107" s="136">
        <f>F107/358888.5</f>
        <v>0.9201901704847046</v>
      </c>
      <c r="M107" s="22">
        <f>M8+M74+M105+M106</f>
        <v>40928.909999999996</v>
      </c>
      <c r="N107" s="22">
        <f>N8+N74+N105+N106</f>
        <v>12682.570000000002</v>
      </c>
      <c r="O107" s="55">
        <f t="shared" si="35"/>
        <v>-28246.339999999997</v>
      </c>
      <c r="P107" s="36">
        <f>N107/M107*100</f>
        <v>30.986825693623416</v>
      </c>
      <c r="Q107" s="36">
        <f>N107-39133.2</f>
        <v>-26450.629999999997</v>
      </c>
      <c r="R107" s="136">
        <f>N107/39133.2</f>
        <v>0.32408722005867147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261775.5</v>
      </c>
      <c r="G108" s="71">
        <f>G10-G18+G96</f>
        <v>-26478.500000000007</v>
      </c>
      <c r="H108" s="72">
        <f>F108/E108*100</f>
        <v>90.81417777376896</v>
      </c>
      <c r="I108" s="52">
        <f t="shared" si="34"/>
        <v>-126437.70000000001</v>
      </c>
      <c r="J108" s="52">
        <f t="shared" si="36"/>
        <v>67.43086015622343</v>
      </c>
      <c r="K108" s="52">
        <f>F108-273558.9</f>
        <v>-11783.400000000023</v>
      </c>
      <c r="L108" s="137">
        <f>F108/273558.9</f>
        <v>0.9569255469297471</v>
      </c>
      <c r="M108" s="71">
        <f>M10-M18+M96</f>
        <v>32423.5</v>
      </c>
      <c r="N108" s="71">
        <f>N10-N18+N96</f>
        <v>10811.410000000002</v>
      </c>
      <c r="O108" s="53">
        <f t="shared" si="35"/>
        <v>-21612.089999999997</v>
      </c>
      <c r="P108" s="52">
        <f>N108/M108*100</f>
        <v>33.34436442703595</v>
      </c>
      <c r="Q108" s="52">
        <f>N108-30069.2</f>
        <v>-19257.79</v>
      </c>
      <c r="R108" s="137">
        <f>N108/30069.2</f>
        <v>0.3595509690979474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68470.16999999993</v>
      </c>
      <c r="G109" s="62">
        <f>F109-E109</f>
        <v>-6838.830000000016</v>
      </c>
      <c r="H109" s="72">
        <f>F109/E109*100</f>
        <v>90.91897382782932</v>
      </c>
      <c r="I109" s="52">
        <f t="shared" si="34"/>
        <v>-50196.23000000004</v>
      </c>
      <c r="J109" s="52">
        <f t="shared" si="36"/>
        <v>57.6997111229463</v>
      </c>
      <c r="K109" s="52">
        <f>F109-85329.7</f>
        <v>-16859.53000000007</v>
      </c>
      <c r="L109" s="137">
        <f>F109/85329.7</f>
        <v>0.802418970182714</v>
      </c>
      <c r="M109" s="71">
        <f>M107-M108</f>
        <v>8505.409999999996</v>
      </c>
      <c r="N109" s="71">
        <f>N107-N108</f>
        <v>1871.1599999999999</v>
      </c>
      <c r="O109" s="53">
        <f t="shared" si="35"/>
        <v>-6634.249999999996</v>
      </c>
      <c r="P109" s="52">
        <f>N109/M109*100</f>
        <v>21.99964493187278</v>
      </c>
      <c r="Q109" s="52">
        <f>N109-9064</f>
        <v>-7192.84</v>
      </c>
      <c r="R109" s="137">
        <f>N109/9064</f>
        <v>0.20643865842894968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261775.5</v>
      </c>
      <c r="G110" s="111">
        <f>F110-E110</f>
        <v>-21108.599999999977</v>
      </c>
      <c r="H110" s="72">
        <f>F110/E110*100</f>
        <v>92.53807478044897</v>
      </c>
      <c r="I110" s="81">
        <f t="shared" si="34"/>
        <v>-126437.70000000001</v>
      </c>
      <c r="J110" s="52">
        <f t="shared" si="36"/>
        <v>67.43086015622343</v>
      </c>
      <c r="K110" s="52"/>
      <c r="L110" s="137"/>
      <c r="M110" s="72">
        <f>E110-серпень!E110</f>
        <v>32423.49999999997</v>
      </c>
      <c r="N110" s="71">
        <f>N108</f>
        <v>10811.410000000002</v>
      </c>
      <c r="O110" s="63">
        <f t="shared" si="35"/>
        <v>-21612.089999999967</v>
      </c>
      <c r="P110" s="52">
        <f>N110/M110*100</f>
        <v>33.344364427035984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2">
        <v>1042.4</v>
      </c>
      <c r="G115" s="49">
        <f t="shared" si="37"/>
        <v>-1637.1999999999998</v>
      </c>
      <c r="H115" s="40">
        <f aca="true" t="shared" si="39" ref="H115:H126">F115/E115*100</f>
        <v>38.90132855650098</v>
      </c>
      <c r="I115" s="60">
        <f t="shared" si="38"/>
        <v>-2629.1</v>
      </c>
      <c r="J115" s="60">
        <f aca="true" t="shared" si="40" ref="J115:J121">F115/D115*100</f>
        <v>28.391665531798992</v>
      </c>
      <c r="K115" s="60">
        <f>F115-3077.6</f>
        <v>-2035.1999999999998</v>
      </c>
      <c r="L115" s="138">
        <f>F115/3077.6</f>
        <v>0.3387054847933455</v>
      </c>
      <c r="M115" s="40">
        <f>E115-серпень!E115</f>
        <v>327.5</v>
      </c>
      <c r="N115" s="40">
        <f>F115-серпень!F115</f>
        <v>56.88000000000011</v>
      </c>
      <c r="O115" s="53">
        <f aca="true" t="shared" si="41" ref="O115:O126">N115-M115</f>
        <v>-270.6199999999999</v>
      </c>
      <c r="P115" s="60">
        <f>N115/M115*100</f>
        <v>17.367938931297743</v>
      </c>
      <c r="Q115" s="60">
        <f>N115-150.5</f>
        <v>-93.61999999999989</v>
      </c>
      <c r="R115" s="138">
        <f>N115/150.5</f>
        <v>0.3779401993355489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227.9</v>
      </c>
      <c r="G116" s="49">
        <f t="shared" si="37"/>
        <v>27.400000000000006</v>
      </c>
      <c r="H116" s="40">
        <f t="shared" si="39"/>
        <v>113.66583541147133</v>
      </c>
      <c r="I116" s="60">
        <f t="shared" si="38"/>
        <v>-40.20000000000002</v>
      </c>
      <c r="J116" s="60">
        <f t="shared" si="40"/>
        <v>85.00559492726593</v>
      </c>
      <c r="K116" s="60">
        <f>F116-200.1</f>
        <v>27.80000000000001</v>
      </c>
      <c r="L116" s="138">
        <f>F116/200.1</f>
        <v>1.1389305347326337</v>
      </c>
      <c r="M116" s="40">
        <f>E116-серпень!E116</f>
        <v>22</v>
      </c>
      <c r="N116" s="40">
        <f>F116-серпень!F116</f>
        <v>20.580000000000013</v>
      </c>
      <c r="O116" s="53">
        <f t="shared" si="41"/>
        <v>-1.4199999999999875</v>
      </c>
      <c r="P116" s="60">
        <f>N116/M116*100</f>
        <v>93.5454545454546</v>
      </c>
      <c r="Q116" s="60">
        <f>N116-24.4</f>
        <v>-3.819999999999986</v>
      </c>
      <c r="R116" s="138">
        <f>N116/24.4</f>
        <v>0.8434426229508203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1269.5600000000002</v>
      </c>
      <c r="G117" s="62">
        <f t="shared" si="37"/>
        <v>-1610.5399999999997</v>
      </c>
      <c r="H117" s="72">
        <f t="shared" si="39"/>
        <v>44.08041387451826</v>
      </c>
      <c r="I117" s="61">
        <f t="shared" si="38"/>
        <v>-2670.04</v>
      </c>
      <c r="J117" s="61">
        <f t="shared" si="40"/>
        <v>32.225606660574684</v>
      </c>
      <c r="K117" s="61">
        <f>F117-3299.2</f>
        <v>-2029.6399999999996</v>
      </c>
      <c r="L117" s="139">
        <f>F117/3299.2</f>
        <v>0.38480843840931145</v>
      </c>
      <c r="M117" s="62">
        <f>M115+M116+M114</f>
        <v>349.5</v>
      </c>
      <c r="N117" s="38">
        <f>SUM(N114:N116)</f>
        <v>77.68000000000012</v>
      </c>
      <c r="O117" s="61">
        <f t="shared" si="41"/>
        <v>-271.8199999999999</v>
      </c>
      <c r="P117" s="61">
        <f>N117/M117*100</f>
        <v>22.226037195994312</v>
      </c>
      <c r="Q117" s="61">
        <f>N117-175.8</f>
        <v>-98.11999999999989</v>
      </c>
      <c r="R117" s="139">
        <f>N117/175.8</f>
        <v>0.4418657565415251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290.5</v>
      </c>
      <c r="G119" s="49">
        <f t="shared" si="37"/>
        <v>103</v>
      </c>
      <c r="H119" s="40">
        <f t="shared" si="39"/>
        <v>154.93333333333334</v>
      </c>
      <c r="I119" s="60">
        <f t="shared" si="38"/>
        <v>23.30000000000001</v>
      </c>
      <c r="J119" s="60">
        <f t="shared" si="40"/>
        <v>108.72005988023952</v>
      </c>
      <c r="K119" s="60">
        <f>F119-174.4</f>
        <v>116.1</v>
      </c>
      <c r="L119" s="138">
        <f>F119/174.4</f>
        <v>1.665711009174312</v>
      </c>
      <c r="M119" s="40">
        <f>E119-серпень!E119</f>
        <v>5</v>
      </c>
      <c r="N119" s="40">
        <f>F119-серпень!F119</f>
        <v>1.6999999999999886</v>
      </c>
      <c r="O119" s="53">
        <f>N119-M119</f>
        <v>-3.3000000000000114</v>
      </c>
      <c r="P119" s="60">
        <f>N119/M119*100</f>
        <v>33.99999999999977</v>
      </c>
      <c r="Q119" s="60">
        <f>N119-1.4</f>
        <v>0.2999999999999887</v>
      </c>
      <c r="R119" s="138">
        <f>N119/1.4</f>
        <v>1.2142857142857062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57252.3</v>
      </c>
      <c r="G120" s="49">
        <f t="shared" si="37"/>
        <v>4739.700000000004</v>
      </c>
      <c r="H120" s="40">
        <f t="shared" si="39"/>
        <v>109.02583379988803</v>
      </c>
      <c r="I120" s="53">
        <f t="shared" si="38"/>
        <v>-14723.690000000002</v>
      </c>
      <c r="J120" s="60">
        <f t="shared" si="40"/>
        <v>79.54360891736259</v>
      </c>
      <c r="K120" s="60">
        <f>F120-50659.1</f>
        <v>6593.200000000004</v>
      </c>
      <c r="L120" s="138">
        <f>F120/50659.1</f>
        <v>1.1301483840020845</v>
      </c>
      <c r="M120" s="40">
        <f>E120-серпень!E120</f>
        <v>3100</v>
      </c>
      <c r="N120" s="40">
        <f>F120-серпень!F120</f>
        <v>1137.6700000000055</v>
      </c>
      <c r="O120" s="53">
        <f t="shared" si="41"/>
        <v>-1962.3299999999945</v>
      </c>
      <c r="P120" s="60">
        <f aca="true" t="shared" si="42" ref="P120:P125">N120/M120*100</f>
        <v>36.6990322580647</v>
      </c>
      <c r="Q120" s="60">
        <f>N120-3034.9</f>
        <v>-1897.2299999999946</v>
      </c>
      <c r="R120" s="138">
        <f>N120/3034.9</f>
        <v>0.37486243368809696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1754.72</v>
      </c>
      <c r="G121" s="49">
        <f t="shared" si="37"/>
        <v>31.720000000000027</v>
      </c>
      <c r="H121" s="40">
        <f t="shared" si="39"/>
        <v>101.84097504352874</v>
      </c>
      <c r="I121" s="60">
        <f t="shared" si="38"/>
        <v>-2995.2799999999997</v>
      </c>
      <c r="J121" s="60">
        <f t="shared" si="40"/>
        <v>36.94147368421053</v>
      </c>
      <c r="K121" s="60">
        <f>F121-1289.6</f>
        <v>465.1200000000001</v>
      </c>
      <c r="L121" s="138">
        <f>F121/1289.6</f>
        <v>1.3606699751861044</v>
      </c>
      <c r="M121" s="40">
        <f>E121-серпень!E121</f>
        <v>0</v>
      </c>
      <c r="N121" s="40">
        <f>F121-серпень!F121</f>
        <v>0.03999999999996362</v>
      </c>
      <c r="O121" s="53">
        <f t="shared" si="41"/>
        <v>0.03999999999996362</v>
      </c>
      <c r="P121" s="60" t="e">
        <f t="shared" si="42"/>
        <v>#DIV/0!</v>
      </c>
      <c r="Q121" s="60">
        <f>N121-167.3</f>
        <v>-167.26000000000005</v>
      </c>
      <c r="R121" s="138">
        <f>N121/167.3</f>
        <v>0.00023909145248035636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940.1</v>
      </c>
      <c r="G123" s="49">
        <f t="shared" si="37"/>
        <v>-491.12</v>
      </c>
      <c r="H123" s="40">
        <f t="shared" si="39"/>
        <v>65.68521960285631</v>
      </c>
      <c r="I123" s="60">
        <f t="shared" si="38"/>
        <v>-1059.9</v>
      </c>
      <c r="J123" s="60">
        <f>F123/D123*100</f>
        <v>47.005</v>
      </c>
      <c r="K123" s="60">
        <f>F123-1660.3</f>
        <v>-720.1999999999999</v>
      </c>
      <c r="L123" s="138">
        <f>F123/1660.3</f>
        <v>0.566222971752093</v>
      </c>
      <c r="M123" s="40">
        <f>E123-серпень!E123</f>
        <v>189.58999999999992</v>
      </c>
      <c r="N123" s="40">
        <f>F123-серпень!F123</f>
        <v>75.48000000000002</v>
      </c>
      <c r="O123" s="53">
        <f t="shared" si="41"/>
        <v>-114.1099999999999</v>
      </c>
      <c r="P123" s="60">
        <f t="shared" si="42"/>
        <v>39.81222638324809</v>
      </c>
      <c r="Q123" s="60">
        <f>N123-20.2</f>
        <v>55.280000000000015</v>
      </c>
      <c r="R123" s="138">
        <f>N123/20.2</f>
        <v>3.7366336633663377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62549.41</v>
      </c>
      <c r="G124" s="62">
        <f t="shared" si="37"/>
        <v>-6233.209999999992</v>
      </c>
      <c r="H124" s="72">
        <f t="shared" si="39"/>
        <v>90.93781248809657</v>
      </c>
      <c r="I124" s="61">
        <f t="shared" si="38"/>
        <v>-39521.78</v>
      </c>
      <c r="J124" s="61">
        <f>F124/D124*100</f>
        <v>61.280181018757595</v>
      </c>
      <c r="K124" s="61">
        <f>F124-76087.4</f>
        <v>-13537.98999999999</v>
      </c>
      <c r="L124" s="139">
        <f>F124/76087.4</f>
        <v>0.8220731684878181</v>
      </c>
      <c r="M124" s="62">
        <f>M120+M121+M122+M123+M119</f>
        <v>6608.889999999999</v>
      </c>
      <c r="N124" s="62">
        <f>N120+N121+N122+N123+N119</f>
        <v>1234.8900000000056</v>
      </c>
      <c r="O124" s="61">
        <f t="shared" si="41"/>
        <v>-5373.999999999994</v>
      </c>
      <c r="P124" s="61">
        <f t="shared" si="42"/>
        <v>18.685286031391136</v>
      </c>
      <c r="Q124" s="61">
        <f>N124-10790.5</f>
        <v>-9555.609999999995</v>
      </c>
      <c r="R124" s="139">
        <f>N124/10790.5</f>
        <v>0.11444233353412776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71242.31</v>
      </c>
      <c r="G134" s="50">
        <f t="shared" si="43"/>
        <v>-7196.720000000001</v>
      </c>
      <c r="H134" s="51">
        <f>F134/E134*100</f>
        <v>90.82507777059456</v>
      </c>
      <c r="I134" s="36">
        <f t="shared" si="44"/>
        <v>-43549.18000000001</v>
      </c>
      <c r="J134" s="36">
        <f>F134/D134*100</f>
        <v>62.06236193989641</v>
      </c>
      <c r="K134" s="36">
        <f>F134-88248.3</f>
        <v>-17005.990000000005</v>
      </c>
      <c r="L134" s="136">
        <f>F134/88248.3</f>
        <v>0.8072938515529477</v>
      </c>
      <c r="M134" s="31">
        <f>M117+M131+M124+M130+M133+M132</f>
        <v>6970.389999999999</v>
      </c>
      <c r="N134" s="31">
        <f>N117+N131+N124+N130+N133+N132</f>
        <v>1315.2700000000054</v>
      </c>
      <c r="O134" s="36">
        <f t="shared" si="45"/>
        <v>-5655.1199999999935</v>
      </c>
      <c r="P134" s="36">
        <f>N134/M134*100</f>
        <v>18.8693889438038</v>
      </c>
      <c r="Q134" s="36">
        <f>N134-11009.7</f>
        <v>-9694.429999999995</v>
      </c>
      <c r="R134" s="136">
        <f>N134/11009.7</f>
        <v>0.11946465389611027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401487.9799999999</v>
      </c>
      <c r="G135" s="50">
        <f t="shared" si="43"/>
        <v>-40514.04999999999</v>
      </c>
      <c r="H135" s="51">
        <f>F135/E135*100</f>
        <v>90.8339674367559</v>
      </c>
      <c r="I135" s="36">
        <f t="shared" si="44"/>
        <v>-220183.11000000004</v>
      </c>
      <c r="J135" s="36">
        <f>F135/D135*100</f>
        <v>64.5820573705623</v>
      </c>
      <c r="K135" s="36">
        <f>F135-447136.8</f>
        <v>-45648.820000000065</v>
      </c>
      <c r="L135" s="136">
        <f>F135/447136.8</f>
        <v>0.897908604257131</v>
      </c>
      <c r="M135" s="22">
        <f>M107+M134</f>
        <v>47899.299999999996</v>
      </c>
      <c r="N135" s="22">
        <f>N107+N134</f>
        <v>13997.840000000007</v>
      </c>
      <c r="O135" s="36">
        <f t="shared" si="45"/>
        <v>-33901.45999999999</v>
      </c>
      <c r="P135" s="36">
        <f>N135/M135*100</f>
        <v>29.223475082099338</v>
      </c>
      <c r="Q135" s="36">
        <f>N135-50142.9</f>
        <v>-36145.06</v>
      </c>
      <c r="R135" s="136">
        <f>N135/50142.9</f>
        <v>0.27915896368179755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14</v>
      </c>
      <c r="D137" s="4" t="s">
        <v>118</v>
      </c>
    </row>
    <row r="138" spans="2:17" ht="31.5">
      <c r="B138" s="78" t="s">
        <v>154</v>
      </c>
      <c r="C138" s="39">
        <f>IF(O107&lt;0,ABS(O107/C137),0)</f>
        <v>2017.595714285714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41892</v>
      </c>
      <c r="D139" s="39">
        <v>851.6</v>
      </c>
      <c r="N139" s="191"/>
      <c r="O139" s="191"/>
    </row>
    <row r="140" spans="3:15" ht="15.75">
      <c r="C140" s="120">
        <v>41891</v>
      </c>
      <c r="D140" s="39">
        <v>936.1</v>
      </c>
      <c r="F140" s="4" t="s">
        <v>166</v>
      </c>
      <c r="G140" s="187" t="s">
        <v>151</v>
      </c>
      <c r="H140" s="187"/>
      <c r="I140" s="115">
        <f>'[1]залишки  (2)'!$G$9/1000</f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41890</v>
      </c>
      <c r="D141" s="39">
        <v>1241.8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f>'[1]залишки  (2)'!$G$6/1000</f>
        <v>122492.33446</v>
      </c>
      <c r="E143" s="80"/>
      <c r="F143" s="100" t="s">
        <v>147</v>
      </c>
      <c r="G143" s="187" t="s">
        <v>149</v>
      </c>
      <c r="H143" s="187"/>
      <c r="I143" s="116">
        <f>'[1]залишки  (2)'!$G$10/1000</f>
        <v>108662.4765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f>'[1]надх'!$B$52/1000</f>
        <v>6118.652079999993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261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259</v>
      </c>
      <c r="H4" s="203" t="s">
        <v>260</v>
      </c>
      <c r="I4" s="199" t="s">
        <v>188</v>
      </c>
      <c r="J4" s="205" t="s">
        <v>189</v>
      </c>
      <c r="K4" s="192" t="s">
        <v>264</v>
      </c>
      <c r="L4" s="193"/>
      <c r="M4" s="212"/>
      <c r="N4" s="197" t="s">
        <v>267</v>
      </c>
      <c r="O4" s="199" t="s">
        <v>136</v>
      </c>
      <c r="P4" s="199" t="s">
        <v>135</v>
      </c>
      <c r="Q4" s="192" t="s">
        <v>265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258</v>
      </c>
      <c r="F5" s="215"/>
      <c r="G5" s="202"/>
      <c r="H5" s="204"/>
      <c r="I5" s="200"/>
      <c r="J5" s="206"/>
      <c r="K5" s="194"/>
      <c r="L5" s="195"/>
      <c r="M5" s="151" t="s">
        <v>262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1"/>
      <c r="O139" s="191"/>
    </row>
    <row r="140" spans="3:15" ht="15.75">
      <c r="C140" s="120">
        <v>41879</v>
      </c>
      <c r="D140" s="39">
        <v>3653.6</v>
      </c>
      <c r="F140" s="4" t="s">
        <v>166</v>
      </c>
      <c r="G140" s="187" t="s">
        <v>151</v>
      </c>
      <c r="H140" s="187"/>
      <c r="I140" s="115"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41878</v>
      </c>
      <c r="D141" s="39">
        <v>1194.3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127799.14</v>
      </c>
      <c r="E143" s="80"/>
      <c r="F143" s="100" t="s">
        <v>147</v>
      </c>
      <c r="G143" s="187" t="s">
        <v>149</v>
      </c>
      <c r="H143" s="187"/>
      <c r="I143" s="116">
        <v>113969.28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18493.9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252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249</v>
      </c>
      <c r="H4" s="203" t="s">
        <v>250</v>
      </c>
      <c r="I4" s="199" t="s">
        <v>188</v>
      </c>
      <c r="J4" s="205" t="s">
        <v>189</v>
      </c>
      <c r="K4" s="192" t="s">
        <v>254</v>
      </c>
      <c r="L4" s="193"/>
      <c r="M4" s="212"/>
      <c r="N4" s="197" t="s">
        <v>257</v>
      </c>
      <c r="O4" s="199" t="s">
        <v>136</v>
      </c>
      <c r="P4" s="199" t="s">
        <v>135</v>
      </c>
      <c r="Q4" s="192" t="s">
        <v>255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248</v>
      </c>
      <c r="F5" s="215"/>
      <c r="G5" s="202"/>
      <c r="H5" s="204"/>
      <c r="I5" s="200"/>
      <c r="J5" s="206"/>
      <c r="K5" s="194"/>
      <c r="L5" s="195"/>
      <c r="M5" s="151" t="s">
        <v>251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1"/>
      <c r="O139" s="191"/>
    </row>
    <row r="140" spans="3:15" ht="15.75">
      <c r="C140" s="120">
        <v>41850</v>
      </c>
      <c r="D140" s="39">
        <v>4320</v>
      </c>
      <c r="F140" s="4" t="s">
        <v>166</v>
      </c>
      <c r="G140" s="187" t="s">
        <v>151</v>
      </c>
      <c r="H140" s="187"/>
      <c r="I140" s="115">
        <f>13825221.96/1000</f>
        <v>13825.22196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41849</v>
      </c>
      <c r="D141" s="39">
        <v>4403.7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f>120856761.09/1000</f>
        <v>120856.76109</v>
      </c>
      <c r="E143" s="80"/>
      <c r="F143" s="100" t="s">
        <v>147</v>
      </c>
      <c r="G143" s="187" t="s">
        <v>149</v>
      </c>
      <c r="H143" s="187"/>
      <c r="I143" s="116">
        <f>107031539.13/1000</f>
        <v>107031.53912999999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f>26199804.73/1000</f>
        <v>26199.80473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243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238</v>
      </c>
      <c r="H4" s="203" t="s">
        <v>239</v>
      </c>
      <c r="I4" s="199" t="s">
        <v>188</v>
      </c>
      <c r="J4" s="205" t="s">
        <v>189</v>
      </c>
      <c r="K4" s="192" t="s">
        <v>240</v>
      </c>
      <c r="L4" s="193"/>
      <c r="M4" s="212"/>
      <c r="N4" s="197" t="s">
        <v>247</v>
      </c>
      <c r="O4" s="199" t="s">
        <v>136</v>
      </c>
      <c r="P4" s="199" t="s">
        <v>135</v>
      </c>
      <c r="Q4" s="192" t="s">
        <v>242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237</v>
      </c>
      <c r="F5" s="215"/>
      <c r="G5" s="202"/>
      <c r="H5" s="204"/>
      <c r="I5" s="200"/>
      <c r="J5" s="206"/>
      <c r="K5" s="194"/>
      <c r="L5" s="195"/>
      <c r="M5" s="151" t="s">
        <v>241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1"/>
      <c r="O139" s="191"/>
    </row>
    <row r="140" spans="3:15" ht="15.75">
      <c r="C140" s="120">
        <v>41816</v>
      </c>
      <c r="D140" s="39">
        <v>4277.2</v>
      </c>
      <c r="F140" s="4" t="s">
        <v>166</v>
      </c>
      <c r="G140" s="187" t="s">
        <v>151</v>
      </c>
      <c r="H140" s="187"/>
      <c r="I140" s="115">
        <f>'[1]залишки  (2)'!$G$9/1000</f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41815</v>
      </c>
      <c r="D141" s="39">
        <v>1877.7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117976.29</v>
      </c>
      <c r="E143" s="80"/>
      <c r="F143" s="100" t="s">
        <v>147</v>
      </c>
      <c r="G143" s="187" t="s">
        <v>149</v>
      </c>
      <c r="H143" s="187"/>
      <c r="I143" s="116">
        <v>104151.07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41386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233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229</v>
      </c>
      <c r="H4" s="203" t="s">
        <v>230</v>
      </c>
      <c r="I4" s="199" t="s">
        <v>188</v>
      </c>
      <c r="J4" s="205" t="s">
        <v>189</v>
      </c>
      <c r="K4" s="192" t="s">
        <v>231</v>
      </c>
      <c r="L4" s="193"/>
      <c r="M4" s="212"/>
      <c r="N4" s="197" t="s">
        <v>236</v>
      </c>
      <c r="O4" s="199" t="s">
        <v>136</v>
      </c>
      <c r="P4" s="199" t="s">
        <v>135</v>
      </c>
      <c r="Q4" s="192" t="s">
        <v>234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228</v>
      </c>
      <c r="F5" s="215"/>
      <c r="G5" s="202"/>
      <c r="H5" s="204"/>
      <c r="I5" s="200"/>
      <c r="J5" s="206"/>
      <c r="K5" s="194"/>
      <c r="L5" s="195"/>
      <c r="M5" s="151" t="s">
        <v>232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41787</v>
      </c>
      <c r="D140" s="39">
        <v>2595.2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118982.48</v>
      </c>
      <c r="E142" s="80"/>
      <c r="F142" s="100" t="s">
        <v>147</v>
      </c>
      <c r="G142" s="187" t="s">
        <v>149</v>
      </c>
      <c r="H142" s="187"/>
      <c r="I142" s="116">
        <v>105157.26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27359.4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221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217</v>
      </c>
      <c r="H4" s="203" t="s">
        <v>218</v>
      </c>
      <c r="I4" s="199" t="s">
        <v>188</v>
      </c>
      <c r="J4" s="205" t="s">
        <v>189</v>
      </c>
      <c r="K4" s="192" t="s">
        <v>219</v>
      </c>
      <c r="L4" s="193"/>
      <c r="M4" s="212"/>
      <c r="N4" s="197" t="s">
        <v>227</v>
      </c>
      <c r="O4" s="199" t="s">
        <v>136</v>
      </c>
      <c r="P4" s="199" t="s">
        <v>135</v>
      </c>
      <c r="Q4" s="192" t="s">
        <v>222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216</v>
      </c>
      <c r="F5" s="215"/>
      <c r="G5" s="202"/>
      <c r="H5" s="204"/>
      <c r="I5" s="200"/>
      <c r="J5" s="206"/>
      <c r="K5" s="194"/>
      <c r="L5" s="195"/>
      <c r="M5" s="151" t="s">
        <v>220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41757</v>
      </c>
      <c r="D140" s="39">
        <v>1923.2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123251.48</v>
      </c>
      <c r="E142" s="80"/>
      <c r="F142" s="100" t="s">
        <v>147</v>
      </c>
      <c r="G142" s="187" t="s">
        <v>149</v>
      </c>
      <c r="H142" s="187"/>
      <c r="I142" s="116">
        <v>109426.25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f>'[1]надх'!$B$52/1000</f>
        <v>6118.652079999993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208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210</v>
      </c>
      <c r="N3" s="213" t="s">
        <v>198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207</v>
      </c>
      <c r="H4" s="203" t="s">
        <v>195</v>
      </c>
      <c r="I4" s="199" t="s">
        <v>188</v>
      </c>
      <c r="J4" s="205" t="s">
        <v>189</v>
      </c>
      <c r="K4" s="192" t="s">
        <v>196</v>
      </c>
      <c r="L4" s="193"/>
      <c r="M4" s="212"/>
      <c r="N4" s="197" t="s">
        <v>213</v>
      </c>
      <c r="O4" s="199" t="s">
        <v>136</v>
      </c>
      <c r="P4" s="199" t="s">
        <v>135</v>
      </c>
      <c r="Q4" s="192" t="s">
        <v>197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214</v>
      </c>
      <c r="F5" s="215"/>
      <c r="G5" s="202"/>
      <c r="H5" s="204"/>
      <c r="I5" s="200"/>
      <c r="J5" s="206"/>
      <c r="K5" s="194"/>
      <c r="L5" s="195"/>
      <c r="M5" s="151" t="s">
        <v>211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41725</v>
      </c>
      <c r="D140" s="39">
        <v>3360.7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114985.02570999999</v>
      </c>
      <c r="E142" s="80"/>
      <c r="F142" s="100" t="s">
        <v>147</v>
      </c>
      <c r="G142" s="187" t="s">
        <v>149</v>
      </c>
      <c r="H142" s="187"/>
      <c r="I142" s="116">
        <v>101159.80375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3918.1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07" t="s">
        <v>193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6" t="s">
        <v>185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191</v>
      </c>
      <c r="F4" s="224" t="s">
        <v>116</v>
      </c>
      <c r="G4" s="226" t="s">
        <v>167</v>
      </c>
      <c r="H4" s="203" t="s">
        <v>168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21"/>
      <c r="N4" s="197" t="s">
        <v>194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184</v>
      </c>
      <c r="L5" s="195"/>
      <c r="M5" s="221"/>
      <c r="N5" s="198"/>
      <c r="O5" s="229"/>
      <c r="P5" s="216"/>
      <c r="Q5" s="194" t="s">
        <v>199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41696</v>
      </c>
      <c r="D140" s="39">
        <v>3746.1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f>'[1]залишки  (2)'!$G$8/1000</f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121970.53</v>
      </c>
      <c r="E142" s="80"/>
      <c r="F142" s="100" t="s">
        <v>147</v>
      </c>
      <c r="G142" s="187" t="s">
        <v>149</v>
      </c>
      <c r="H142" s="187"/>
      <c r="I142" s="116">
        <v>108145.31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07" t="s">
        <v>183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205" t="s">
        <v>200</v>
      </c>
      <c r="N3" s="216" t="s">
        <v>178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153</v>
      </c>
      <c r="F4" s="224" t="s">
        <v>116</v>
      </c>
      <c r="G4" s="226" t="s">
        <v>175</v>
      </c>
      <c r="H4" s="203" t="s">
        <v>176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32"/>
      <c r="N4" s="197" t="s">
        <v>186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177</v>
      </c>
      <c r="L5" s="195"/>
      <c r="M5" s="206"/>
      <c r="N5" s="198"/>
      <c r="O5" s="229"/>
      <c r="P5" s="216"/>
      <c r="Q5" s="194" t="s">
        <v>179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41668</v>
      </c>
      <c r="D140" s="39">
        <v>1984.7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111410.62</v>
      </c>
      <c r="E142" s="80"/>
      <c r="F142" s="100" t="s">
        <v>147</v>
      </c>
      <c r="G142" s="187" t="s">
        <v>149</v>
      </c>
      <c r="H142" s="187"/>
      <c r="I142" s="116">
        <v>97585.4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2014-09-11T06:54:31Z</cp:lastPrinted>
  <dcterms:created xsi:type="dcterms:W3CDTF">2003-07-28T11:27:56Z</dcterms:created>
  <dcterms:modified xsi:type="dcterms:W3CDTF">2014-09-11T06:58:26Z</dcterms:modified>
  <cp:category/>
  <cp:version/>
  <cp:contentType/>
  <cp:contentStatus/>
</cp:coreProperties>
</file>